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80" yWindow="645" windowWidth="19320" windowHeight="15480" activeTab="0"/>
  </bookViews>
  <sheets>
    <sheet name="2 Month Example" sheetId="1" r:id="rId1"/>
    <sheet name="2.5 Month Example" sheetId="2" r:id="rId2"/>
    <sheet name="2.5 Months on 2 awards" sheetId="3" r:id="rId3"/>
    <sheet name="3 Month Example" sheetId="4" r:id="rId4"/>
    <sheet name="2 months or less" sheetId="5" r:id="rId5"/>
  </sheets>
  <definedNames/>
  <calcPr fullCalcOnLoad="1"/>
</workbook>
</file>

<file path=xl/sharedStrings.xml><?xml version="1.0" encoding="utf-8"?>
<sst xmlns="http://schemas.openxmlformats.org/spreadsheetml/2006/main" count="332" uniqueCount="130">
  <si>
    <t>Faculty</t>
  </si>
  <si>
    <t>Smith, John</t>
  </si>
  <si>
    <t xml:space="preserve">Monthly </t>
  </si>
  <si>
    <t>Salary (1/9)</t>
  </si>
  <si>
    <t>Three equal</t>
  </si>
  <si>
    <t>installments</t>
  </si>
  <si>
    <t>Account Numbers</t>
  </si>
  <si>
    <t>June</t>
  </si>
  <si>
    <t>July</t>
  </si>
  <si>
    <t>August</t>
  </si>
  <si>
    <t>Total = Total Allowable</t>
  </si>
  <si>
    <t>Per Award</t>
  </si>
  <si>
    <t>Allowable $$</t>
  </si>
  <si>
    <t>Total Summer</t>
  </si>
  <si>
    <t>Salary Allowable</t>
  </si>
  <si>
    <t>5-XXXXX</t>
  </si>
  <si>
    <t>July:</t>
  </si>
  <si>
    <t xml:space="preserve">Summer Salary </t>
  </si>
  <si>
    <t xml:space="preserve"> Months Allowable</t>
  </si>
  <si>
    <t>65% of month</t>
  </si>
  <si>
    <t>35% of month</t>
  </si>
  <si>
    <t>Two equal</t>
  </si>
  <si>
    <t>1.5</t>
  </si>
  <si>
    <t>Total =Total Allowable</t>
  </si>
  <si>
    <t>Profrssor F</t>
  </si>
  <si>
    <t>Professor E</t>
  </si>
  <si>
    <t>Professor R</t>
  </si>
  <si>
    <t>Professor K</t>
  </si>
  <si>
    <t>Professor D</t>
  </si>
  <si>
    <t xml:space="preserve">2 from proposal </t>
  </si>
  <si>
    <t xml:space="preserve">Accounts with Summer Salary Budgeted:  </t>
  </si>
  <si>
    <t xml:space="preserve">Account </t>
  </si>
  <si>
    <t>Charged</t>
  </si>
  <si>
    <t>Three Equal</t>
  </si>
  <si>
    <t>Account</t>
  </si>
  <si>
    <t>Month</t>
  </si>
  <si>
    <t>Notes</t>
  </si>
  <si>
    <t>Salary</t>
  </si>
  <si>
    <t>Amount</t>
  </si>
  <si>
    <t>8%/4%</t>
  </si>
  <si>
    <t>AY Salary</t>
  </si>
  <si>
    <t>Installment per month based on Three Equal Payments:</t>
  </si>
  <si>
    <t>Month:</t>
  </si>
  <si>
    <t>Amount charged</t>
  </si>
  <si>
    <t>Account Charged</t>
  </si>
  <si>
    <t>Allocation of Accounts for Summer Salary 211 Form:</t>
  </si>
  <si>
    <t>Amount Charged</t>
  </si>
  <si>
    <t>June:</t>
  </si>
  <si>
    <t>5-AAAAA</t>
  </si>
  <si>
    <t>5-BBBBB</t>
  </si>
  <si>
    <t>OVERALL ASSUMPTIONS:</t>
  </si>
  <si>
    <t xml:space="preserve">     approved by the Department Chair and approved by the Dean's Office.</t>
  </si>
  <si>
    <t xml:space="preserve">1.  These scenarios assume 100% expended summer effort is to externally funded projects, this has been documented/explained by the faculty member, </t>
  </si>
  <si>
    <t>Prospective</t>
  </si>
  <si>
    <r>
      <t>EXAMPLE 2</t>
    </r>
    <r>
      <rPr>
        <b/>
        <sz val="10"/>
        <rFont val="Geneva"/>
        <family val="0"/>
      </rPr>
      <t>:  2 months charged on two grants</t>
    </r>
  </si>
  <si>
    <r>
      <t>EXAMPLE 1</t>
    </r>
    <r>
      <rPr>
        <b/>
        <sz val="10"/>
        <rFont val="Geneva"/>
        <family val="0"/>
      </rPr>
      <t>:  2 months charged on one grant</t>
    </r>
  </si>
  <si>
    <t>2.  The faculty member is expending effort in varying levels throughout the three summer months, although he/she is only expending the equivalent</t>
  </si>
  <si>
    <t xml:space="preserve">     of two months of effort.</t>
  </si>
  <si>
    <t>Each Project</t>
  </si>
  <si>
    <t>Summer Salary</t>
  </si>
  <si>
    <t>Months Allowable</t>
  </si>
  <si>
    <t>Number</t>
  </si>
  <si>
    <t>Each Externaly</t>
  </si>
  <si>
    <t>Funded Project</t>
  </si>
  <si>
    <t>Academic</t>
  </si>
  <si>
    <t>Yer</t>
  </si>
  <si>
    <t>The person is expending effort to externally funded</t>
  </si>
  <si>
    <t>equivalent of two months of effort.</t>
  </si>
  <si>
    <t xml:space="preserve"> </t>
  </si>
  <si>
    <t>The person is definitely not working during August.</t>
  </si>
  <si>
    <t>The person is expending two months effort during</t>
  </si>
  <si>
    <t>June and July combined.</t>
  </si>
  <si>
    <t>The person is joining the University effective July 1st.</t>
  </si>
  <si>
    <t xml:space="preserve">It is anticipated that they have externally funded </t>
  </si>
  <si>
    <t>projects and that two full months of effort will</t>
  </si>
  <si>
    <t>effort during June and July combined.</t>
  </si>
  <si>
    <t>The person is expending one and one-half months</t>
  </si>
  <si>
    <t>The person is expending one month of effort</t>
  </si>
  <si>
    <t xml:space="preserve">be devoted to those projects.  </t>
  </si>
  <si>
    <t>(not an NSF project)</t>
  </si>
  <si>
    <t>Prospective Academic Year (AY) Salary:</t>
  </si>
  <si>
    <t xml:space="preserve">Amount chargeable to project in summer </t>
  </si>
  <si>
    <t>Amount to be charged to project in AY</t>
  </si>
  <si>
    <t>Monthly Salary   (1/9 of AY Salary)</t>
  </si>
  <si>
    <t>Summer Salary Months Allowable Sponsor Project 1</t>
  </si>
  <si>
    <t>Summer Salary Months Allowable Sponsor Project 2</t>
  </si>
  <si>
    <t>Summer Salary Months Allowable Sponsor Project 3</t>
  </si>
  <si>
    <t>(assumes faculty member is expending effort in varying levels throughout the three</t>
  </si>
  <si>
    <t>summer months, although (s)he is only expending the equivalent of 2.5 months of effort)</t>
  </si>
  <si>
    <t>Summer Salary Months Allowable  Sponsor Project 2</t>
  </si>
  <si>
    <t>Total Allowable Summer Salary per Project</t>
  </si>
  <si>
    <t>Should Equal Allowable Salary Per Project</t>
  </si>
  <si>
    <t>(assumes faculty member is expending effort in varying levels throughout</t>
  </si>
  <si>
    <t>equivalent of 2.5 months of effort)</t>
  </si>
  <si>
    <t>the three summer months, although (s)he is only expending the</t>
  </si>
  <si>
    <t>Total Months Allowable on all projects:</t>
  </si>
  <si>
    <t>Monthly Salary    (1/9 of AY Salary)</t>
  </si>
  <si>
    <t>Amount chargeable to projects in summer</t>
  </si>
  <si>
    <t xml:space="preserve"> based on A&amp;S Policy</t>
  </si>
  <si>
    <t>Amount to be charged to projects in AY</t>
  </si>
  <si>
    <t xml:space="preserve">Amount to be charged to projects in AY </t>
  </si>
  <si>
    <t>Total Summer Salary Earned</t>
  </si>
  <si>
    <t>Should Equal Allowable Summer Salary Per Projects</t>
  </si>
  <si>
    <t>Total Allowable Summer Salary per Projects</t>
  </si>
  <si>
    <t>Faculty Member Name:</t>
  </si>
  <si>
    <t xml:space="preserve">summer months, although only expending the </t>
  </si>
  <si>
    <t>projects in varying levels throughout the three</t>
  </si>
  <si>
    <t>during June and July combined.</t>
  </si>
  <si>
    <r>
      <t>EXAMPLE 3</t>
    </r>
    <r>
      <rPr>
        <b/>
        <sz val="10"/>
        <rFont val="Geneva"/>
        <family val="0"/>
      </rPr>
      <t>:   2 months charged on two grants where one grant ends on July 31</t>
    </r>
  </si>
  <si>
    <t>** Account ends on July 31</t>
  </si>
  <si>
    <t xml:space="preserve">   has approved 3 full months of compensation</t>
  </si>
  <si>
    <t xml:space="preserve">   for the summer period.</t>
  </si>
  <si>
    <r>
      <t>NOTE</t>
    </r>
    <r>
      <rPr>
        <b/>
        <sz val="10"/>
        <rFont val="Geneva"/>
        <family val="0"/>
      </rPr>
      <t xml:space="preserve">:  This example assumes the Dean's Office </t>
    </r>
  </si>
  <si>
    <t>based on A&amp;S Policy</t>
  </si>
  <si>
    <t xml:space="preserve">based on A&amp;S Policy </t>
  </si>
  <si>
    <t>Allocation of Accounts for Summer Salary 211S Form:</t>
  </si>
  <si>
    <t xml:space="preserve">5-AAAAA </t>
  </si>
  <si>
    <t xml:space="preserve">5-BBBBB </t>
  </si>
  <si>
    <t>5-BBBBB **</t>
  </si>
  <si>
    <t>TBD</t>
  </si>
  <si>
    <t>5-XXXXX SC57650</t>
  </si>
  <si>
    <t>5-AAAAA SC57650</t>
  </si>
  <si>
    <t>5-BBBBB SC57650</t>
  </si>
  <si>
    <t>3-XXXXX SC57650</t>
  </si>
  <si>
    <t>Total Dollars Charged to Account 5-AAAAA SC57650</t>
  </si>
  <si>
    <t>Total Dollars Charged to Account 3-XXXXX SC57650</t>
  </si>
  <si>
    <t>Total Dollars Charged to Account 5-BBBBB SC57650</t>
  </si>
  <si>
    <t>Total Salary Dollars Charged to Account 5-AAAAA SC57650</t>
  </si>
  <si>
    <t>Total Salary Dollars Charged to Account 5-BBBBB SC57650</t>
  </si>
  <si>
    <t>Total Salary Dollars Charged to Account 3-XXXXX SC57650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</si>
</sst>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_);\(&quot;$&quot;#,##0.0\)"/>
    <numFmt numFmtId="167" formatCode="&quot;$&quot;#,##0.000_);[Red]\(&quot;$&quot;#,##0.000\)"/>
    <numFmt numFmtId="168" formatCode="&quot;$&quot;#,##0.0000_);[Red]\(&quot;$&quot;#,##0.0000\)"/>
    <numFmt numFmtId="169" formatCode="&quot;$&quot;#,##0.00000_);[Red]\(&quot;$&quot;#,##0.00000\)"/>
    <numFmt numFmtId="170" formatCode="#,##0.0"/>
    <numFmt numFmtId="171" formatCode="&quot;$&quot;#,##0.0_);[Red]\(&quot;$&quot;#,##0.0\)"/>
    <numFmt numFmtId="172" formatCode="&quot;$&quot;#,##0.0"/>
  </numFmts>
  <fonts count="4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u val="single"/>
      <sz val="10"/>
      <name val="Geneva"/>
      <family val="0"/>
    </font>
    <font>
      <b/>
      <u val="single"/>
      <sz val="10"/>
      <name val="Geneva"/>
      <family val="0"/>
    </font>
    <font>
      <sz val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Genev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5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right"/>
    </xf>
    <xf numFmtId="8" fontId="6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8" fontId="6" fillId="0" borderId="0" xfId="0" applyNumberFormat="1" applyFont="1" applyAlignment="1">
      <alignment/>
    </xf>
    <xf numFmtId="0" fontId="0" fillId="0" borderId="0" xfId="0" applyFont="1" applyAlignment="1">
      <alignment/>
    </xf>
    <xf numFmtId="5" fontId="6" fillId="0" borderId="0" xfId="0" applyNumberFormat="1" applyFont="1" applyAlignment="1">
      <alignment/>
    </xf>
    <xf numFmtId="5" fontId="1" fillId="0" borderId="0" xfId="0" applyNumberFormat="1" applyFont="1" applyAlignment="1">
      <alignment/>
    </xf>
    <xf numFmtId="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0" fontId="0" fillId="0" borderId="0" xfId="0" applyNumberFormat="1" applyFont="1" applyAlignment="1">
      <alignment horizontal="center"/>
    </xf>
    <xf numFmtId="5" fontId="0" fillId="0" borderId="0" xfId="0" applyNumberFormat="1" applyAlignment="1">
      <alignment horizontal="right"/>
    </xf>
    <xf numFmtId="7" fontId="0" fillId="0" borderId="0" xfId="0" applyNumberFormat="1" applyAlignment="1">
      <alignment horizontal="left"/>
    </xf>
    <xf numFmtId="165" fontId="0" fillId="0" borderId="0" xfId="0" applyNumberFormat="1" applyAlignment="1">
      <alignment horizontal="right"/>
    </xf>
    <xf numFmtId="165" fontId="6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Continuous"/>
    </xf>
    <xf numFmtId="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fill"/>
    </xf>
    <xf numFmtId="0" fontId="0" fillId="0" borderId="10" xfId="0" applyBorder="1" applyAlignment="1">
      <alignment/>
    </xf>
    <xf numFmtId="0" fontId="7" fillId="0" borderId="0" xfId="0" applyFont="1" applyAlignment="1">
      <alignment horizontal="fill"/>
    </xf>
    <xf numFmtId="6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/>
    </xf>
    <xf numFmtId="7" fontId="1" fillId="0" borderId="0" xfId="0" applyNumberFormat="1" applyFont="1" applyAlignment="1">
      <alignment/>
    </xf>
    <xf numFmtId="165" fontId="0" fillId="0" borderId="10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Alignment="1">
      <alignment horizontal="left"/>
    </xf>
    <xf numFmtId="170" fontId="0" fillId="0" borderId="0" xfId="0" applyNumberFormat="1" applyFill="1" applyAlignment="1">
      <alignment/>
    </xf>
    <xf numFmtId="165" fontId="0" fillId="0" borderId="0" xfId="0" applyNumberFormat="1" applyFill="1" applyAlignment="1">
      <alignment horizontal="center"/>
    </xf>
    <xf numFmtId="6" fontId="0" fillId="0" borderId="0" xfId="0" applyNumberForma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5"/>
  <sheetViews>
    <sheetView tabSelected="1" zoomScalePageLayoutView="0" workbookViewId="0" topLeftCell="A1">
      <selection activeCell="A1" sqref="A1"/>
    </sheetView>
  </sheetViews>
  <sheetFormatPr defaultColWidth="11.375" defaultRowHeight="12.75"/>
  <cols>
    <col min="1" max="1" width="20.125" style="0" customWidth="1"/>
    <col min="2" max="2" width="15.75390625" style="0" customWidth="1"/>
    <col min="3" max="3" width="16.75390625" style="0" customWidth="1"/>
    <col min="4" max="4" width="11.75390625" style="0" customWidth="1"/>
    <col min="5" max="5" width="12.00390625" style="0" customWidth="1"/>
    <col min="6" max="6" width="13.00390625" style="0" customWidth="1"/>
    <col min="7" max="7" width="14.00390625" style="0" customWidth="1"/>
    <col min="8" max="8" width="11.375" style="0" customWidth="1"/>
    <col min="9" max="9" width="18.375" style="0" customWidth="1"/>
    <col min="10" max="10" width="13.375" style="0" customWidth="1"/>
  </cols>
  <sheetData>
    <row r="3" ht="12.75">
      <c r="A3" s="48" t="s">
        <v>55</v>
      </c>
    </row>
    <row r="4" spans="3:11" ht="12.75">
      <c r="C4" s="10"/>
      <c r="D4" s="10"/>
      <c r="E4" s="10"/>
      <c r="F4" s="10"/>
      <c r="G4" s="10"/>
      <c r="H4" s="10"/>
      <c r="I4" s="10"/>
      <c r="J4" s="10"/>
      <c r="K4" s="10"/>
    </row>
    <row r="5" spans="3:11" ht="12.75">
      <c r="C5" s="10" t="s">
        <v>59</v>
      </c>
      <c r="D5" s="12" t="s">
        <v>53</v>
      </c>
      <c r="E5" s="10" t="s">
        <v>2</v>
      </c>
      <c r="F5" s="12" t="s">
        <v>12</v>
      </c>
      <c r="G5" s="12" t="s">
        <v>13</v>
      </c>
      <c r="H5" s="10" t="s">
        <v>4</v>
      </c>
      <c r="I5" s="10" t="s">
        <v>31</v>
      </c>
      <c r="J5" s="10" t="s">
        <v>35</v>
      </c>
      <c r="K5" s="10"/>
    </row>
    <row r="6" spans="1:11" ht="12.75">
      <c r="A6" s="7" t="s">
        <v>0</v>
      </c>
      <c r="B6" s="7" t="s">
        <v>6</v>
      </c>
      <c r="C6" s="12" t="s">
        <v>60</v>
      </c>
      <c r="D6" s="11" t="s">
        <v>40</v>
      </c>
      <c r="E6" s="11" t="s">
        <v>3</v>
      </c>
      <c r="F6" s="11" t="s">
        <v>11</v>
      </c>
      <c r="G6" s="11" t="s">
        <v>14</v>
      </c>
      <c r="H6" s="13" t="s">
        <v>5</v>
      </c>
      <c r="I6" s="11" t="s">
        <v>32</v>
      </c>
      <c r="J6" s="11" t="s">
        <v>32</v>
      </c>
      <c r="K6" s="10"/>
    </row>
    <row r="7" ht="12.75">
      <c r="C7" s="11" t="s">
        <v>58</v>
      </c>
    </row>
    <row r="8" spans="1:10" ht="12.75">
      <c r="A8" t="s">
        <v>1</v>
      </c>
      <c r="B8" t="s">
        <v>48</v>
      </c>
      <c r="C8" s="10">
        <v>2</v>
      </c>
      <c r="D8" s="8">
        <v>100000</v>
      </c>
      <c r="E8" s="9">
        <f>D8/9</f>
        <v>11111.111111111111</v>
      </c>
      <c r="F8" s="9">
        <f>E8*2</f>
        <v>22222.222222222223</v>
      </c>
      <c r="G8" s="9">
        <f>F8</f>
        <v>22222.222222222223</v>
      </c>
      <c r="H8" s="4">
        <f>F8/3</f>
        <v>7407.407407407408</v>
      </c>
      <c r="I8" t="s">
        <v>121</v>
      </c>
      <c r="J8" t="s">
        <v>7</v>
      </c>
    </row>
    <row r="9" spans="8:10" ht="12.75">
      <c r="H9" s="4">
        <v>7407.41</v>
      </c>
      <c r="I9" t="s">
        <v>121</v>
      </c>
      <c r="J9" t="s">
        <v>8</v>
      </c>
    </row>
    <row r="10" spans="8:10" ht="12.75">
      <c r="H10" s="14">
        <v>7407.41</v>
      </c>
      <c r="I10" t="s">
        <v>121</v>
      </c>
      <c r="J10" t="s">
        <v>9</v>
      </c>
    </row>
    <row r="11" spans="8:10" ht="12.75">
      <c r="H11" s="19">
        <f>SUM(H8:H10)</f>
        <v>22222.22740740741</v>
      </c>
      <c r="I11" s="4"/>
      <c r="J11" s="20" t="s">
        <v>10</v>
      </c>
    </row>
    <row r="13" ht="12.75">
      <c r="A13" s="48" t="s">
        <v>54</v>
      </c>
    </row>
    <row r="14" ht="12.75">
      <c r="A14" s="20"/>
    </row>
    <row r="15" spans="3:10" ht="12.75">
      <c r="C15" s="10" t="s">
        <v>59</v>
      </c>
      <c r="D15" t="s">
        <v>53</v>
      </c>
      <c r="E15" s="10" t="s">
        <v>2</v>
      </c>
      <c r="F15" s="12" t="s">
        <v>12</v>
      </c>
      <c r="G15" s="12" t="s">
        <v>13</v>
      </c>
      <c r="H15" s="12" t="s">
        <v>33</v>
      </c>
      <c r="I15" s="12" t="s">
        <v>34</v>
      </c>
      <c r="J15" s="10" t="s">
        <v>35</v>
      </c>
    </row>
    <row r="16" spans="1:11" ht="12.75">
      <c r="A16" s="7" t="s">
        <v>0</v>
      </c>
      <c r="B16" s="7" t="s">
        <v>6</v>
      </c>
      <c r="C16" s="12" t="s">
        <v>60</v>
      </c>
      <c r="D16" s="11" t="s">
        <v>40</v>
      </c>
      <c r="E16" s="11" t="s">
        <v>3</v>
      </c>
      <c r="F16" s="11" t="s">
        <v>11</v>
      </c>
      <c r="G16" s="11" t="s">
        <v>14</v>
      </c>
      <c r="H16" s="13" t="s">
        <v>5</v>
      </c>
      <c r="I16" s="11" t="s">
        <v>32</v>
      </c>
      <c r="J16" s="11" t="s">
        <v>32</v>
      </c>
      <c r="K16" s="10"/>
    </row>
    <row r="17" ht="12.75">
      <c r="C17" s="11" t="s">
        <v>58</v>
      </c>
    </row>
    <row r="18" spans="1:10" ht="12.75">
      <c r="A18" t="s">
        <v>1</v>
      </c>
      <c r="B18" t="s">
        <v>116</v>
      </c>
      <c r="C18" s="10">
        <v>1</v>
      </c>
      <c r="D18" s="8">
        <v>100000</v>
      </c>
      <c r="E18" s="9">
        <f>D18/9</f>
        <v>11111.111111111111</v>
      </c>
      <c r="F18" s="9">
        <f>E18*1</f>
        <v>11111.111111111111</v>
      </c>
      <c r="G18" s="9">
        <f>F18+F19</f>
        <v>22222.222222222223</v>
      </c>
      <c r="H18" s="4">
        <f>F18/3</f>
        <v>3703.703703703704</v>
      </c>
      <c r="I18" t="s">
        <v>121</v>
      </c>
      <c r="J18" t="s">
        <v>7</v>
      </c>
    </row>
    <row r="19" spans="2:10" ht="12.75">
      <c r="B19" t="s">
        <v>117</v>
      </c>
      <c r="C19" s="10">
        <v>1</v>
      </c>
      <c r="F19" s="9">
        <f>E18*1</f>
        <v>11111.111111111111</v>
      </c>
      <c r="G19" s="9"/>
      <c r="H19" s="4">
        <f>F19/3</f>
        <v>3703.703703703704</v>
      </c>
      <c r="I19" t="s">
        <v>122</v>
      </c>
      <c r="J19" t="s">
        <v>7</v>
      </c>
    </row>
    <row r="20" spans="8:10" ht="12.75">
      <c r="H20" s="15">
        <f>F19/3</f>
        <v>3703.703703703704</v>
      </c>
      <c r="I20" t="s">
        <v>121</v>
      </c>
      <c r="J20" t="s">
        <v>8</v>
      </c>
    </row>
    <row r="21" spans="8:10" ht="12.75">
      <c r="H21" s="4">
        <f>F19/3</f>
        <v>3703.703703703704</v>
      </c>
      <c r="I21" t="s">
        <v>122</v>
      </c>
      <c r="J21" t="s">
        <v>8</v>
      </c>
    </row>
    <row r="22" spans="8:10" ht="12.75">
      <c r="H22" s="16">
        <f>F18/3</f>
        <v>3703.703703703704</v>
      </c>
      <c r="I22" t="s">
        <v>121</v>
      </c>
      <c r="J22" t="s">
        <v>9</v>
      </c>
    </row>
    <row r="23" spans="8:10" ht="12.75">
      <c r="H23" s="18">
        <f>F19/3</f>
        <v>3703.703703703704</v>
      </c>
      <c r="I23" t="s">
        <v>122</v>
      </c>
      <c r="J23" t="s">
        <v>9</v>
      </c>
    </row>
    <row r="24" spans="8:10" ht="12.75">
      <c r="H24" s="19">
        <f>SUM(H18:H23)</f>
        <v>22222.222222222223</v>
      </c>
      <c r="I24" s="4"/>
      <c r="J24" s="20" t="s">
        <v>10</v>
      </c>
    </row>
    <row r="26" ht="12.75">
      <c r="A26" s="48" t="s">
        <v>108</v>
      </c>
    </row>
    <row r="27" ht="12.75">
      <c r="A27" s="20"/>
    </row>
    <row r="28" spans="3:10" ht="12.75">
      <c r="C28" s="10" t="s">
        <v>59</v>
      </c>
      <c r="D28" t="s">
        <v>53</v>
      </c>
      <c r="E28" s="10" t="s">
        <v>2</v>
      </c>
      <c r="F28" s="12" t="s">
        <v>12</v>
      </c>
      <c r="G28" s="12" t="s">
        <v>13</v>
      </c>
      <c r="I28" s="12" t="s">
        <v>34</v>
      </c>
      <c r="J28" s="10" t="s">
        <v>35</v>
      </c>
    </row>
    <row r="29" spans="1:11" ht="12.75">
      <c r="A29" s="7" t="s">
        <v>0</v>
      </c>
      <c r="B29" s="7" t="s">
        <v>6</v>
      </c>
      <c r="C29" s="12" t="s">
        <v>60</v>
      </c>
      <c r="D29" s="11" t="s">
        <v>40</v>
      </c>
      <c r="E29" s="11" t="s">
        <v>3</v>
      </c>
      <c r="F29" s="11" t="s">
        <v>11</v>
      </c>
      <c r="G29" s="11" t="s">
        <v>14</v>
      </c>
      <c r="H29" s="13" t="s">
        <v>5</v>
      </c>
      <c r="I29" s="11" t="s">
        <v>32</v>
      </c>
      <c r="J29" s="11" t="s">
        <v>32</v>
      </c>
      <c r="K29" s="10"/>
    </row>
    <row r="30" ht="12.75">
      <c r="C30" s="11" t="s">
        <v>58</v>
      </c>
    </row>
    <row r="31" spans="1:10" ht="12.75">
      <c r="A31" t="s">
        <v>1</v>
      </c>
      <c r="B31" t="s">
        <v>116</v>
      </c>
      <c r="C31" s="10">
        <v>1</v>
      </c>
      <c r="D31" s="8">
        <v>100000</v>
      </c>
      <c r="E31" s="9">
        <f>D31/9</f>
        <v>11111.111111111111</v>
      </c>
      <c r="F31" s="9">
        <f>E31*1</f>
        <v>11111.111111111111</v>
      </c>
      <c r="G31" s="9">
        <f>F31+F32</f>
        <v>22222.222222222223</v>
      </c>
      <c r="H31" s="4">
        <f>F31*16.6667%</f>
        <v>1851.8555555555554</v>
      </c>
      <c r="I31" t="s">
        <v>121</v>
      </c>
      <c r="J31" t="s">
        <v>7</v>
      </c>
    </row>
    <row r="32" spans="2:10" ht="12.75">
      <c r="B32" t="s">
        <v>118</v>
      </c>
      <c r="C32" s="10">
        <v>1</v>
      </c>
      <c r="F32" s="9">
        <f>E31*1</f>
        <v>11111.111111111111</v>
      </c>
      <c r="G32" s="9"/>
      <c r="H32" s="4">
        <f>F32*50%</f>
        <v>5555.555555555556</v>
      </c>
      <c r="I32" t="s">
        <v>122</v>
      </c>
      <c r="J32" t="s">
        <v>7</v>
      </c>
    </row>
    <row r="33" spans="8:10" ht="12.75">
      <c r="H33" s="15">
        <f>F31*16.6667%</f>
        <v>1851.8555555555554</v>
      </c>
      <c r="I33" t="s">
        <v>121</v>
      </c>
      <c r="J33" t="s">
        <v>8</v>
      </c>
    </row>
    <row r="34" spans="8:10" ht="12.75">
      <c r="H34" s="4">
        <f>F32*50%</f>
        <v>5555.555555555556</v>
      </c>
      <c r="I34" t="s">
        <v>122</v>
      </c>
      <c r="J34" t="s">
        <v>8</v>
      </c>
    </row>
    <row r="35" spans="2:10" ht="12.75">
      <c r="B35" t="s">
        <v>109</v>
      </c>
      <c r="H35" s="21">
        <f>F31*66.6667%</f>
        <v>7407.4111111111115</v>
      </c>
      <c r="I35" t="s">
        <v>121</v>
      </c>
      <c r="J35" t="s">
        <v>9</v>
      </c>
    </row>
    <row r="36" spans="8:10" ht="12.75">
      <c r="H36" s="19">
        <f>SUM(H31:H35)</f>
        <v>22222.233333333334</v>
      </c>
      <c r="I36" s="4"/>
      <c r="J36" s="20" t="s">
        <v>10</v>
      </c>
    </row>
    <row r="39" ht="12.75">
      <c r="A39" s="48" t="s">
        <v>50</v>
      </c>
    </row>
    <row r="41" spans="1:9" ht="12.75">
      <c r="A41" s="55" t="s">
        <v>52</v>
      </c>
      <c r="B41" s="55"/>
      <c r="C41" s="55"/>
      <c r="D41" s="55"/>
      <c r="E41" s="55"/>
      <c r="F41" s="55"/>
      <c r="G41" s="55"/>
      <c r="H41" s="55"/>
      <c r="I41" s="55"/>
    </row>
    <row r="42" spans="1:9" ht="12.75">
      <c r="A42" s="55" t="s">
        <v>51</v>
      </c>
      <c r="B42" s="55"/>
      <c r="C42" s="55"/>
      <c r="D42" s="55"/>
      <c r="E42" s="55"/>
      <c r="F42" s="55"/>
      <c r="G42" s="55"/>
      <c r="H42" s="55"/>
      <c r="I42" s="55"/>
    </row>
    <row r="44" spans="1:9" ht="12.75">
      <c r="A44" s="55" t="s">
        <v>56</v>
      </c>
      <c r="B44" s="55"/>
      <c r="C44" s="55"/>
      <c r="D44" s="55"/>
      <c r="E44" s="55"/>
      <c r="F44" s="55"/>
      <c r="G44" s="55"/>
      <c r="H44" s="55"/>
      <c r="I44" s="55"/>
    </row>
    <row r="45" spans="1:9" ht="12.75">
      <c r="A45" s="55" t="s">
        <v>57</v>
      </c>
      <c r="B45" s="55"/>
      <c r="C45" s="55"/>
      <c r="D45" s="55"/>
      <c r="E45" s="55"/>
      <c r="F45" s="55"/>
      <c r="G45" s="55"/>
      <c r="H45" s="55"/>
      <c r="I45" s="55"/>
    </row>
  </sheetData>
  <sheetProtection/>
  <printOptions gridLines="1"/>
  <pageMargins left="0.75" right="0.75" top="1" bottom="1" header="0.5" footer="0.5"/>
  <pageSetup fitToHeight="1" fitToWidth="1" horizontalDpi="1200" verticalDpi="1200" orientation="landscape" scale="77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29" sqref="A29"/>
    </sheetView>
  </sheetViews>
  <sheetFormatPr defaultColWidth="11.375" defaultRowHeight="12.75"/>
  <cols>
    <col min="1" max="1" width="37.375" style="0" customWidth="1"/>
    <col min="2" max="2" width="9.25390625" style="0" customWidth="1"/>
    <col min="3" max="3" width="14.75390625" style="0" customWidth="1"/>
    <col min="4" max="4" width="18.25390625" style="0" customWidth="1"/>
    <col min="5" max="5" width="37.25390625" style="0" customWidth="1"/>
    <col min="6" max="6" width="15.375" style="0" customWidth="1"/>
    <col min="7" max="7" width="13.625" style="0" customWidth="1"/>
    <col min="8" max="8" width="12.75390625" style="0" customWidth="1"/>
    <col min="9" max="9" width="14.625" style="0" customWidth="1"/>
    <col min="10" max="10" width="11.375" style="0" customWidth="1"/>
    <col min="11" max="11" width="12.125" style="0" customWidth="1"/>
  </cols>
  <sheetData>
    <row r="1" spans="1:3" ht="12.75">
      <c r="A1" s="20" t="s">
        <v>104</v>
      </c>
      <c r="C1" s="45" t="s">
        <v>1</v>
      </c>
    </row>
    <row r="2" ht="12.75">
      <c r="E2" s="22"/>
    </row>
    <row r="3" spans="1:6" ht="12.75">
      <c r="A3" s="20" t="s">
        <v>30</v>
      </c>
      <c r="B3" s="56" t="s">
        <v>48</v>
      </c>
      <c r="F3" s="41"/>
    </row>
    <row r="6" spans="1:3" ht="12.75">
      <c r="A6" s="20" t="s">
        <v>80</v>
      </c>
      <c r="C6" s="38">
        <v>100000</v>
      </c>
    </row>
    <row r="7" ht="10.5" customHeight="1"/>
    <row r="8" spans="1:4" ht="12.75">
      <c r="A8" t="s">
        <v>84</v>
      </c>
      <c r="C8">
        <v>2.5</v>
      </c>
      <c r="D8" t="s">
        <v>79</v>
      </c>
    </row>
    <row r="9" spans="1:3" ht="12.75">
      <c r="A9" t="s">
        <v>85</v>
      </c>
      <c r="C9" s="4"/>
    </row>
    <row r="10" spans="1:3" ht="12.75">
      <c r="A10" t="s">
        <v>86</v>
      </c>
      <c r="C10" s="44"/>
    </row>
    <row r="11" spans="1:6" ht="12.75">
      <c r="A11" s="22" t="s">
        <v>95</v>
      </c>
      <c r="B11" s="7"/>
      <c r="C11">
        <v>2.5</v>
      </c>
      <c r="E11" s="7"/>
      <c r="F11" s="7"/>
    </row>
    <row r="12" spans="1:6" ht="12.75">
      <c r="A12" s="22"/>
      <c r="B12" s="7"/>
      <c r="E12" s="7"/>
      <c r="F12" s="7"/>
    </row>
    <row r="13" spans="1:3" ht="12.75">
      <c r="A13" s="20" t="s">
        <v>83</v>
      </c>
      <c r="C13" s="15">
        <f>C6/9</f>
        <v>11111.111111111111</v>
      </c>
    </row>
    <row r="14" ht="12.75">
      <c r="C14" s="14"/>
    </row>
    <row r="15" spans="1:6" ht="12.75">
      <c r="A15" s="20" t="s">
        <v>90</v>
      </c>
      <c r="B15" s="22"/>
      <c r="D15" s="38">
        <f>C13*C8</f>
        <v>27777.777777777777</v>
      </c>
      <c r="E15" s="22"/>
      <c r="F15" s="22"/>
    </row>
    <row r="17" spans="1:5" ht="12.75">
      <c r="A17" s="22" t="s">
        <v>81</v>
      </c>
      <c r="C17" s="5">
        <f>C13*2</f>
        <v>22222.222222222223</v>
      </c>
      <c r="E17" s="22"/>
    </row>
    <row r="18" spans="1:5" ht="13.5" customHeight="1">
      <c r="A18" s="22" t="s">
        <v>113</v>
      </c>
      <c r="C18" s="5"/>
      <c r="E18" s="22"/>
    </row>
    <row r="19" spans="1:5" ht="13.5" customHeight="1">
      <c r="A19" s="22"/>
      <c r="C19" s="5"/>
      <c r="E19" s="22"/>
    </row>
    <row r="20" spans="1:3" ht="15" customHeight="1">
      <c r="A20" t="s">
        <v>82</v>
      </c>
      <c r="C20" s="52">
        <f>D15-C17</f>
        <v>5555.555555555555</v>
      </c>
    </row>
    <row r="21" spans="1:4" ht="12.75" customHeight="1">
      <c r="A21" t="s">
        <v>68</v>
      </c>
      <c r="D21" s="5">
        <f>SUM(C17:C20)</f>
        <v>27777.777777777777</v>
      </c>
    </row>
    <row r="22" ht="12.75" customHeight="1"/>
    <row r="23" ht="12.75">
      <c r="A23" s="48" t="s">
        <v>115</v>
      </c>
    </row>
    <row r="24" spans="1:4" ht="16.5" customHeight="1">
      <c r="A24" t="s">
        <v>41</v>
      </c>
      <c r="C24" s="8">
        <v>9259</v>
      </c>
      <c r="D24" t="s">
        <v>87</v>
      </c>
    </row>
    <row r="25" spans="3:4" ht="16.5" customHeight="1">
      <c r="C25" s="8"/>
      <c r="D25" t="s">
        <v>88</v>
      </c>
    </row>
    <row r="26" ht="16.5" customHeight="1">
      <c r="C26" s="8"/>
    </row>
    <row r="27" spans="1:4" ht="18" customHeight="1">
      <c r="A27" s="7" t="s">
        <v>42</v>
      </c>
      <c r="C27" s="42" t="s">
        <v>43</v>
      </c>
      <c r="D27" s="7" t="s">
        <v>44</v>
      </c>
    </row>
    <row r="28" spans="1:5" ht="12.75">
      <c r="A28" t="s">
        <v>47</v>
      </c>
      <c r="C28" s="28">
        <f>9259*80%</f>
        <v>7407.200000000001</v>
      </c>
      <c r="D28" t="s">
        <v>121</v>
      </c>
      <c r="E28" t="s">
        <v>68</v>
      </c>
    </row>
    <row r="29" spans="3:5" ht="12.75">
      <c r="C29" s="46">
        <f>C24*20%</f>
        <v>1851.8000000000002</v>
      </c>
      <c r="D29" t="s">
        <v>123</v>
      </c>
      <c r="E29" t="s">
        <v>68</v>
      </c>
    </row>
    <row r="30" spans="1:4" ht="12.75">
      <c r="A30" t="s">
        <v>16</v>
      </c>
      <c r="C30" s="28">
        <f>C24*80%</f>
        <v>7407.200000000001</v>
      </c>
      <c r="D30" t="s">
        <v>121</v>
      </c>
    </row>
    <row r="31" spans="3:4" ht="12.75">
      <c r="C31" s="28">
        <f>C24*20%</f>
        <v>1851.8000000000002</v>
      </c>
      <c r="D31" t="s">
        <v>123</v>
      </c>
    </row>
    <row r="32" spans="1:4" ht="12.75">
      <c r="A32" t="s">
        <v>9</v>
      </c>
      <c r="C32" s="28">
        <f>C24*80%</f>
        <v>7407.200000000001</v>
      </c>
      <c r="D32" t="s">
        <v>121</v>
      </c>
    </row>
    <row r="33" spans="3:4" ht="12.75">
      <c r="C33" s="28">
        <f>C24*20%</f>
        <v>1851.8000000000002</v>
      </c>
      <c r="D33" t="s">
        <v>123</v>
      </c>
    </row>
    <row r="34" ht="12.75">
      <c r="C34" s="28"/>
    </row>
    <row r="35" spans="1:3" ht="12.75">
      <c r="A35" t="s">
        <v>124</v>
      </c>
      <c r="C35" s="28">
        <f>C28+C30+C32</f>
        <v>22221.600000000002</v>
      </c>
    </row>
    <row r="36" spans="1:3" ht="12.75">
      <c r="A36" t="s">
        <v>125</v>
      </c>
      <c r="C36" s="42">
        <f>C29+C31+C33</f>
        <v>5555.400000000001</v>
      </c>
    </row>
    <row r="37" spans="1:4" ht="12.75">
      <c r="A37" t="s">
        <v>101</v>
      </c>
      <c r="C37" s="28">
        <f>SUM(C35:C36)</f>
        <v>27777.000000000004</v>
      </c>
      <c r="D37" t="s">
        <v>91</v>
      </c>
    </row>
    <row r="38" spans="3:4" ht="12.75">
      <c r="C38" s="28"/>
      <c r="D38" t="s">
        <v>68</v>
      </c>
    </row>
  </sheetData>
  <sheetProtection/>
  <printOptions gridLines="1"/>
  <pageMargins left="0.5" right="0.25" top="1" bottom="1" header="0.5" footer="0.5"/>
  <pageSetup horizontalDpi="1200" verticalDpi="1200" orientation="landscape" scale="7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6">
      <selection activeCell="A43" sqref="A43"/>
    </sheetView>
  </sheetViews>
  <sheetFormatPr defaultColWidth="11.375" defaultRowHeight="12.75"/>
  <cols>
    <col min="1" max="1" width="37.75390625" style="0" customWidth="1"/>
    <col min="2" max="2" width="9.25390625" style="0" customWidth="1"/>
    <col min="3" max="3" width="14.75390625" style="0" customWidth="1"/>
    <col min="4" max="4" width="14.00390625" style="0" customWidth="1"/>
  </cols>
  <sheetData>
    <row r="1" spans="1:3" ht="12.75">
      <c r="A1" s="20" t="s">
        <v>104</v>
      </c>
      <c r="C1" s="45" t="s">
        <v>1</v>
      </c>
    </row>
    <row r="2" spans="1:3" ht="7.5" customHeight="1">
      <c r="A2" s="22"/>
      <c r="C2" s="43"/>
    </row>
    <row r="3" spans="1:2" ht="12.75">
      <c r="A3" s="20" t="s">
        <v>30</v>
      </c>
      <c r="B3" s="56" t="s">
        <v>48</v>
      </c>
    </row>
    <row r="4" ht="12.75">
      <c r="B4" s="56" t="s">
        <v>49</v>
      </c>
    </row>
    <row r="5" ht="9" customHeight="1"/>
    <row r="6" spans="1:3" ht="12.75">
      <c r="A6" s="20" t="s">
        <v>80</v>
      </c>
      <c r="C6" s="38">
        <v>100000</v>
      </c>
    </row>
    <row r="7" ht="9.75" customHeight="1"/>
    <row r="8" spans="1:3" ht="12.75">
      <c r="A8" t="s">
        <v>84</v>
      </c>
      <c r="C8">
        <v>1</v>
      </c>
    </row>
    <row r="9" spans="1:3" ht="12.75">
      <c r="A9" t="s">
        <v>89</v>
      </c>
      <c r="C9" s="57">
        <v>1.5</v>
      </c>
    </row>
    <row r="10" spans="1:3" ht="12.75">
      <c r="A10" t="s">
        <v>86</v>
      </c>
      <c r="C10" s="44"/>
    </row>
    <row r="11" spans="1:3" ht="12.75">
      <c r="A11" s="22" t="s">
        <v>95</v>
      </c>
      <c r="B11" s="7"/>
      <c r="C11">
        <f>SUM(C8:C10)</f>
        <v>2.5</v>
      </c>
    </row>
    <row r="12" spans="1:2" ht="12.75">
      <c r="A12" s="22"/>
      <c r="B12" s="7"/>
    </row>
    <row r="13" spans="1:3" ht="12.75">
      <c r="A13" s="20" t="s">
        <v>83</v>
      </c>
      <c r="C13" s="15">
        <f>C6/9</f>
        <v>11111.111111111111</v>
      </c>
    </row>
    <row r="14" ht="9.75" customHeight="1">
      <c r="C14" s="14"/>
    </row>
    <row r="15" spans="1:4" ht="12.75">
      <c r="A15" s="20" t="s">
        <v>103</v>
      </c>
      <c r="B15" s="22"/>
      <c r="D15" s="38">
        <f>C13*C11</f>
        <v>27777.777777777777</v>
      </c>
    </row>
    <row r="16" ht="9" customHeight="1"/>
    <row r="17" spans="1:3" ht="12.75">
      <c r="A17" s="22" t="s">
        <v>97</v>
      </c>
      <c r="C17" s="5">
        <f>C13*2</f>
        <v>22222.222222222223</v>
      </c>
    </row>
    <row r="18" ht="12.75">
      <c r="A18" s="22" t="s">
        <v>114</v>
      </c>
    </row>
    <row r="19" ht="12.75">
      <c r="A19" s="22"/>
    </row>
    <row r="20" spans="1:3" ht="12.75">
      <c r="A20" t="s">
        <v>99</v>
      </c>
      <c r="C20" s="52">
        <f>D15-C17</f>
        <v>5555.555555555555</v>
      </c>
    </row>
    <row r="21" spans="1:4" ht="12.75">
      <c r="A21" t="s">
        <v>68</v>
      </c>
      <c r="C21" s="5"/>
      <c r="D21" s="5">
        <f>SUM(C17:C20)</f>
        <v>27777.777777777777</v>
      </c>
    </row>
    <row r="22" ht="12.75">
      <c r="C22" s="5"/>
    </row>
    <row r="23" ht="12.75">
      <c r="A23" s="48" t="s">
        <v>115</v>
      </c>
    </row>
    <row r="24" ht="12.75">
      <c r="A24" s="7"/>
    </row>
    <row r="25" spans="1:4" ht="12.75">
      <c r="A25" t="s">
        <v>41</v>
      </c>
      <c r="C25" s="46">
        <v>9259</v>
      </c>
      <c r="D25" t="s">
        <v>92</v>
      </c>
    </row>
    <row r="26" spans="3:4" ht="12.75">
      <c r="C26" s="46"/>
      <c r="D26" t="s">
        <v>94</v>
      </c>
    </row>
    <row r="27" spans="3:4" ht="12.75">
      <c r="C27" s="46"/>
      <c r="D27" t="s">
        <v>93</v>
      </c>
    </row>
    <row r="28" ht="12.75">
      <c r="C28" s="46"/>
    </row>
    <row r="29" spans="1:4" ht="12.75">
      <c r="A29" s="7" t="s">
        <v>42</v>
      </c>
      <c r="C29" s="42" t="s">
        <v>43</v>
      </c>
      <c r="D29" s="7" t="s">
        <v>44</v>
      </c>
    </row>
    <row r="30" spans="1:4" ht="12.75">
      <c r="A30" t="s">
        <v>47</v>
      </c>
      <c r="C30" s="58">
        <f>9259*32%</f>
        <v>2962.88</v>
      </c>
      <c r="D30" t="s">
        <v>121</v>
      </c>
    </row>
    <row r="31" spans="3:4" ht="12.75">
      <c r="C31" s="58">
        <f>C25*48%</f>
        <v>4444.32</v>
      </c>
      <c r="D31" t="s">
        <v>122</v>
      </c>
    </row>
    <row r="32" spans="3:4" ht="12.75">
      <c r="C32" s="59">
        <f>C25*20%</f>
        <v>1851.8000000000002</v>
      </c>
      <c r="D32" t="s">
        <v>123</v>
      </c>
    </row>
    <row r="33" spans="1:4" ht="12.75">
      <c r="A33" t="s">
        <v>16</v>
      </c>
      <c r="C33" s="58">
        <f>C25*32%</f>
        <v>2962.88</v>
      </c>
      <c r="D33" t="s">
        <v>121</v>
      </c>
    </row>
    <row r="34" spans="3:4" ht="12.75">
      <c r="C34" s="58">
        <f>C25*48%</f>
        <v>4444.32</v>
      </c>
      <c r="D34" t="s">
        <v>122</v>
      </c>
    </row>
    <row r="35" spans="3:4" ht="12.75">
      <c r="C35" s="58">
        <f>C25*20%</f>
        <v>1851.8000000000002</v>
      </c>
      <c r="D35" t="s">
        <v>123</v>
      </c>
    </row>
    <row r="36" spans="1:4" ht="12.75">
      <c r="A36" t="s">
        <v>9</v>
      </c>
      <c r="C36" s="58">
        <f>C25*32%</f>
        <v>2962.88</v>
      </c>
      <c r="D36" t="s">
        <v>121</v>
      </c>
    </row>
    <row r="37" spans="3:4" ht="12.75">
      <c r="C37" s="58">
        <f>C25*48%</f>
        <v>4444.32</v>
      </c>
      <c r="D37" t="s">
        <v>122</v>
      </c>
    </row>
    <row r="38" spans="3:4" ht="12.75">
      <c r="C38" s="28">
        <v>1853</v>
      </c>
      <c r="D38" t="s">
        <v>123</v>
      </c>
    </row>
    <row r="39" ht="12.75">
      <c r="C39" s="28"/>
    </row>
    <row r="40" spans="1:3" ht="12.75">
      <c r="A40" t="s">
        <v>124</v>
      </c>
      <c r="C40" s="28">
        <f>C30+C33+C36</f>
        <v>8888.64</v>
      </c>
    </row>
    <row r="41" spans="1:3" ht="12.75">
      <c r="A41" t="s">
        <v>126</v>
      </c>
      <c r="C41" s="28">
        <f>C31+C34+C37</f>
        <v>13332.96</v>
      </c>
    </row>
    <row r="42" spans="1:3" ht="12.75">
      <c r="A42" t="s">
        <v>125</v>
      </c>
      <c r="C42" s="42">
        <f>C32+C35+C38</f>
        <v>5556.6</v>
      </c>
    </row>
    <row r="43" spans="1:4" ht="12.75">
      <c r="A43" t="s">
        <v>101</v>
      </c>
      <c r="C43" s="28">
        <f>SUM(C40:C42)</f>
        <v>27778.199999999997</v>
      </c>
      <c r="D43" t="s">
        <v>102</v>
      </c>
    </row>
    <row r="44" spans="3:4" ht="12.75">
      <c r="C44" s="28"/>
      <c r="D44" t="s">
        <v>68</v>
      </c>
    </row>
  </sheetData>
  <sheetProtection/>
  <printOptions gridLines="1"/>
  <pageMargins left="0.5" right="0.5" top="1" bottom="1" header="0.5" footer="0.5"/>
  <pageSetup horizontalDpi="1200" verticalDpi="1200" orientation="landscape" scale="65" r:id="rId1"/>
  <headerFooter alignWithMargins="0">
    <oddHeader>&amp;C2.5 months on 2 Grants  Examples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B14" sqref="B14"/>
    </sheetView>
  </sheetViews>
  <sheetFormatPr defaultColWidth="11.375" defaultRowHeight="12.75"/>
  <cols>
    <col min="1" max="1" width="38.75390625" style="0" customWidth="1"/>
    <col min="2" max="2" width="12.625" style="0" customWidth="1"/>
    <col min="3" max="3" width="13.00390625" style="0" customWidth="1"/>
    <col min="4" max="4" width="14.00390625" style="0" customWidth="1"/>
  </cols>
  <sheetData>
    <row r="1" spans="1:3" ht="12.75">
      <c r="A1" s="53" t="s">
        <v>104</v>
      </c>
      <c r="C1" s="45" t="s">
        <v>1</v>
      </c>
    </row>
    <row r="2" ht="7.5" customHeight="1"/>
    <row r="3" spans="1:4" ht="12.75">
      <c r="A3" s="20" t="s">
        <v>30</v>
      </c>
      <c r="B3" s="56" t="s">
        <v>48</v>
      </c>
      <c r="D3" s="48" t="s">
        <v>112</v>
      </c>
    </row>
    <row r="4" spans="2:4" ht="12.75">
      <c r="B4" s="56" t="s">
        <v>49</v>
      </c>
      <c r="C4" s="10"/>
      <c r="D4" s="20" t="s">
        <v>110</v>
      </c>
    </row>
    <row r="5" ht="12.75" customHeight="1">
      <c r="D5" s="20" t="s">
        <v>111</v>
      </c>
    </row>
    <row r="6" spans="1:3" ht="12.75">
      <c r="A6" s="20" t="s">
        <v>80</v>
      </c>
      <c r="C6" s="38">
        <v>100000</v>
      </c>
    </row>
    <row r="8" spans="1:3" ht="12.75">
      <c r="A8" t="s">
        <v>84</v>
      </c>
      <c r="C8">
        <v>1.5</v>
      </c>
    </row>
    <row r="9" spans="1:3" ht="12.75">
      <c r="A9" t="s">
        <v>89</v>
      </c>
      <c r="C9" s="47">
        <v>1.5</v>
      </c>
    </row>
    <row r="10" spans="1:3" ht="12.75">
      <c r="A10" t="s">
        <v>86</v>
      </c>
      <c r="C10" s="54"/>
    </row>
    <row r="11" spans="1:3" ht="12.75">
      <c r="A11" s="22" t="s">
        <v>95</v>
      </c>
      <c r="B11" s="7"/>
      <c r="C11" s="40">
        <f>C8+C9+C10</f>
        <v>3</v>
      </c>
    </row>
    <row r="12" spans="1:3" ht="12.75">
      <c r="A12" s="7"/>
      <c r="B12" s="7"/>
      <c r="C12" s="40"/>
    </row>
    <row r="13" spans="1:3" ht="12.75">
      <c r="A13" s="20" t="s">
        <v>96</v>
      </c>
      <c r="C13" s="15">
        <f>C6/9</f>
        <v>11111.111111111111</v>
      </c>
    </row>
    <row r="14" ht="9.75" customHeight="1">
      <c r="C14" s="14"/>
    </row>
    <row r="15" spans="1:4" ht="12.75">
      <c r="A15" s="20" t="s">
        <v>103</v>
      </c>
      <c r="B15" s="22"/>
      <c r="D15" s="38">
        <f>C11*C13</f>
        <v>33333.333333333336</v>
      </c>
    </row>
    <row r="16" ht="9.75" customHeight="1"/>
    <row r="17" spans="1:3" ht="12.75">
      <c r="A17" s="22" t="s">
        <v>97</v>
      </c>
      <c r="C17" s="5">
        <f>D15*0.8</f>
        <v>26666.66666666667</v>
      </c>
    </row>
    <row r="18" ht="12.75">
      <c r="A18" t="s">
        <v>98</v>
      </c>
    </row>
    <row r="20" spans="1:3" ht="12.75">
      <c r="A20" t="s">
        <v>100</v>
      </c>
      <c r="C20" s="52">
        <f>D15-C17</f>
        <v>6666.666666666664</v>
      </c>
    </row>
    <row r="21" spans="1:4" ht="12.75">
      <c r="A21" t="s">
        <v>68</v>
      </c>
      <c r="D21" s="5">
        <f>SUM(C17:C20)</f>
        <v>33333.333333333336</v>
      </c>
    </row>
    <row r="24" ht="12.75">
      <c r="A24" s="48" t="s">
        <v>45</v>
      </c>
    </row>
    <row r="25" spans="1:3" ht="16.5" customHeight="1">
      <c r="A25" t="s">
        <v>41</v>
      </c>
      <c r="C25" s="8">
        <v>11111</v>
      </c>
    </row>
    <row r="26" ht="16.5" customHeight="1">
      <c r="C26" s="8"/>
    </row>
    <row r="27" spans="1:4" ht="15.75" customHeight="1">
      <c r="A27" s="7" t="s">
        <v>35</v>
      </c>
      <c r="C27" s="42" t="s">
        <v>46</v>
      </c>
      <c r="D27" s="11" t="s">
        <v>44</v>
      </c>
    </row>
    <row r="28" spans="1:4" ht="12.75">
      <c r="A28" t="s">
        <v>47</v>
      </c>
      <c r="C28" s="28">
        <f>$C$17/3*0.5</f>
        <v>4444.444444444445</v>
      </c>
      <c r="D28" t="s">
        <v>121</v>
      </c>
    </row>
    <row r="29" spans="3:4" ht="12.75">
      <c r="C29" s="28">
        <f>$C$17/3*0.5</f>
        <v>4444.444444444445</v>
      </c>
      <c r="D29" t="s">
        <v>122</v>
      </c>
    </row>
    <row r="30" spans="3:4" ht="12.75">
      <c r="C30" s="46">
        <f>$C$20/3</f>
        <v>2222.2222222222213</v>
      </c>
      <c r="D30" t="s">
        <v>123</v>
      </c>
    </row>
    <row r="31" spans="1:4" ht="12.75">
      <c r="A31" t="s">
        <v>16</v>
      </c>
      <c r="C31" s="28">
        <f>$C$17/3*0.5</f>
        <v>4444.444444444445</v>
      </c>
      <c r="D31" t="s">
        <v>121</v>
      </c>
    </row>
    <row r="32" spans="3:4" ht="12.75">
      <c r="C32" s="28">
        <f>$C$17/3*0.5</f>
        <v>4444.444444444445</v>
      </c>
      <c r="D32" t="s">
        <v>122</v>
      </c>
    </row>
    <row r="33" spans="3:4" ht="12.75">
      <c r="C33" s="46">
        <f>$C$20/3</f>
        <v>2222.2222222222213</v>
      </c>
      <c r="D33" t="s">
        <v>123</v>
      </c>
    </row>
    <row r="34" spans="1:4" ht="12.75">
      <c r="A34" t="s">
        <v>9</v>
      </c>
      <c r="C34" s="28">
        <f>$C$17/3*0.5</f>
        <v>4444.444444444445</v>
      </c>
      <c r="D34" t="s">
        <v>121</v>
      </c>
    </row>
    <row r="35" spans="3:4" ht="12.75">
      <c r="C35" s="28">
        <f>$C$17/3*0.5</f>
        <v>4444.444444444445</v>
      </c>
      <c r="D35" t="s">
        <v>122</v>
      </c>
    </row>
    <row r="36" spans="3:4" ht="12.75">
      <c r="C36" s="46">
        <f>$C$20/3</f>
        <v>2222.2222222222213</v>
      </c>
      <c r="D36" t="s">
        <v>123</v>
      </c>
    </row>
    <row r="37" ht="12.75">
      <c r="C37" s="5"/>
    </row>
    <row r="38" spans="1:3" ht="12.75">
      <c r="A38" t="s">
        <v>127</v>
      </c>
      <c r="C38" s="28">
        <f>C28+C31+C34</f>
        <v>13333.333333333336</v>
      </c>
    </row>
    <row r="39" spans="1:3" ht="12.75">
      <c r="A39" t="s">
        <v>128</v>
      </c>
      <c r="C39" s="28">
        <f>C29+C32+C35</f>
        <v>13333.333333333336</v>
      </c>
    </row>
    <row r="40" spans="1:3" ht="12.75">
      <c r="A40" t="s">
        <v>129</v>
      </c>
      <c r="C40" s="42">
        <f>C30+C33+C36</f>
        <v>6666.666666666664</v>
      </c>
    </row>
    <row r="41" spans="1:4" ht="12.75">
      <c r="A41" t="s">
        <v>101</v>
      </c>
      <c r="C41" s="28">
        <f>SUM(C38:C40)</f>
        <v>33333.333333333336</v>
      </c>
      <c r="D41" t="s">
        <v>102</v>
      </c>
    </row>
    <row r="42" spans="3:4" ht="12.75">
      <c r="C42" s="5"/>
      <c r="D42" t="s">
        <v>68</v>
      </c>
    </row>
    <row r="43" ht="12.75">
      <c r="D43" t="s">
        <v>68</v>
      </c>
    </row>
  </sheetData>
  <sheetProtection/>
  <printOptions gridLines="1"/>
  <pageMargins left="0.5" right="0.5" top="1" bottom="0.5" header="0.5" footer="0.5"/>
  <pageSetup horizontalDpi="1200" verticalDpi="1200" orientation="landscape" scale="65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S37"/>
  <sheetViews>
    <sheetView zoomScalePageLayoutView="0" workbookViewId="0" topLeftCell="A1">
      <selection activeCell="T20" sqref="T20"/>
    </sheetView>
  </sheetViews>
  <sheetFormatPr defaultColWidth="11.375" defaultRowHeight="12.75"/>
  <cols>
    <col min="1" max="1" width="11.125" style="0" customWidth="1"/>
    <col min="2" max="2" width="9.00390625" style="10" bestFit="1" customWidth="1"/>
    <col min="3" max="3" width="16.25390625" style="0" bestFit="1" customWidth="1"/>
    <col min="4" max="4" width="9.625" style="0" customWidth="1"/>
    <col min="5" max="5" width="11.125" style="0" customWidth="1"/>
    <col min="6" max="8" width="11.875" style="0" hidden="1" customWidth="1"/>
    <col min="9" max="9" width="6.00390625" style="0" hidden="1" customWidth="1"/>
    <col min="10" max="10" width="10.125" style="0" hidden="1" customWidth="1"/>
    <col min="11" max="11" width="11.25390625" style="0" customWidth="1"/>
    <col min="12" max="12" width="14.875" style="0" bestFit="1" customWidth="1"/>
    <col min="13" max="13" width="12.00390625" style="0" customWidth="1"/>
    <col min="14" max="14" width="10.25390625" style="0" customWidth="1"/>
    <col min="15" max="15" width="17.125" style="0" customWidth="1"/>
    <col min="16" max="16" width="10.875" style="0" customWidth="1"/>
    <col min="17" max="17" width="10.625" style="0" customWidth="1"/>
    <col min="18" max="18" width="11.375" style="0" customWidth="1"/>
    <col min="19" max="19" width="11.125" style="0" customWidth="1"/>
  </cols>
  <sheetData>
    <row r="2" spans="3:4" ht="12.75">
      <c r="C2" s="10" t="s">
        <v>17</v>
      </c>
      <c r="D2" t="s">
        <v>53</v>
      </c>
    </row>
    <row r="3" spans="3:4" ht="12.75">
      <c r="C3" s="12" t="s">
        <v>18</v>
      </c>
      <c r="D3" t="s">
        <v>64</v>
      </c>
    </row>
    <row r="4" spans="2:16" ht="12.75">
      <c r="B4" s="10" t="s">
        <v>34</v>
      </c>
      <c r="C4" s="12" t="s">
        <v>62</v>
      </c>
      <c r="D4" s="12" t="s">
        <v>65</v>
      </c>
      <c r="E4" s="10" t="s">
        <v>2</v>
      </c>
      <c r="F4" s="12" t="s">
        <v>12</v>
      </c>
      <c r="G4" s="10" t="s">
        <v>2</v>
      </c>
      <c r="H4" s="12" t="s">
        <v>12</v>
      </c>
      <c r="I4" s="10" t="s">
        <v>2</v>
      </c>
      <c r="J4" s="12" t="s">
        <v>12</v>
      </c>
      <c r="K4" s="12" t="s">
        <v>12</v>
      </c>
      <c r="L4" s="12" t="s">
        <v>13</v>
      </c>
      <c r="M4" s="10" t="s">
        <v>4</v>
      </c>
      <c r="N4" s="10" t="s">
        <v>21</v>
      </c>
      <c r="O4" s="10" t="s">
        <v>31</v>
      </c>
      <c r="P4" s="10" t="s">
        <v>35</v>
      </c>
    </row>
    <row r="5" spans="1:17" ht="12.75">
      <c r="A5" s="11" t="s">
        <v>0</v>
      </c>
      <c r="B5" s="11" t="s">
        <v>61</v>
      </c>
      <c r="C5" s="11" t="s">
        <v>63</v>
      </c>
      <c r="D5" s="11" t="s">
        <v>37</v>
      </c>
      <c r="E5" s="11" t="s">
        <v>3</v>
      </c>
      <c r="F5" s="11" t="s">
        <v>11</v>
      </c>
      <c r="G5" s="11" t="s">
        <v>3</v>
      </c>
      <c r="H5" s="11" t="s">
        <v>11</v>
      </c>
      <c r="I5" s="11" t="s">
        <v>3</v>
      </c>
      <c r="J5" s="11" t="s">
        <v>11</v>
      </c>
      <c r="K5" s="11" t="s">
        <v>11</v>
      </c>
      <c r="L5" s="11" t="s">
        <v>14</v>
      </c>
      <c r="M5" s="11" t="s">
        <v>5</v>
      </c>
      <c r="N5" s="11" t="s">
        <v>5</v>
      </c>
      <c r="O5" s="11" t="s">
        <v>32</v>
      </c>
      <c r="P5" s="11" t="s">
        <v>32</v>
      </c>
      <c r="Q5" s="11" t="s">
        <v>36</v>
      </c>
    </row>
    <row r="6" spans="3:8" ht="12.75">
      <c r="C6" s="10"/>
      <c r="H6" t="s">
        <v>38</v>
      </c>
    </row>
    <row r="7" spans="1:19" ht="12.75">
      <c r="A7" t="s">
        <v>26</v>
      </c>
      <c r="B7" s="25" t="s">
        <v>15</v>
      </c>
      <c r="C7" s="31">
        <v>2</v>
      </c>
      <c r="D7" s="5">
        <v>132700</v>
      </c>
      <c r="E7" s="2">
        <f>D7/9</f>
        <v>14744.444444444445</v>
      </c>
      <c r="F7" s="2">
        <v>100000</v>
      </c>
      <c r="G7" s="2"/>
      <c r="H7" s="2">
        <v>189956</v>
      </c>
      <c r="I7" s="1">
        <v>0.08</v>
      </c>
      <c r="J7" s="5">
        <v>4699</v>
      </c>
      <c r="K7" s="35">
        <f>E7*C7</f>
        <v>29488.88888888889</v>
      </c>
      <c r="L7" s="35">
        <f>E7*C7</f>
        <v>29488.88888888889</v>
      </c>
      <c r="M7" s="3">
        <f>L7/3</f>
        <v>9829.62962962963</v>
      </c>
      <c r="N7" s="3"/>
      <c r="O7" s="2" t="s">
        <v>120</v>
      </c>
      <c r="P7" s="2" t="s">
        <v>7</v>
      </c>
      <c r="Q7" s="49" t="s">
        <v>66</v>
      </c>
      <c r="S7" s="3"/>
    </row>
    <row r="8" spans="2:19" ht="12.75">
      <c r="B8" s="25"/>
      <c r="C8" s="31"/>
      <c r="D8" s="5"/>
      <c r="E8" s="2"/>
      <c r="F8" s="2"/>
      <c r="G8" s="2"/>
      <c r="H8" s="2"/>
      <c r="I8" s="1"/>
      <c r="J8" s="5"/>
      <c r="K8" s="35"/>
      <c r="L8" s="35"/>
      <c r="M8" s="3">
        <f>K7/3</f>
        <v>9829.62962962963</v>
      </c>
      <c r="N8" s="3"/>
      <c r="O8" s="2" t="s">
        <v>120</v>
      </c>
      <c r="P8" s="2" t="s">
        <v>8</v>
      </c>
      <c r="Q8" s="49" t="s">
        <v>106</v>
      </c>
      <c r="S8" s="3"/>
    </row>
    <row r="9" spans="2:19" ht="12.75">
      <c r="B9" s="25"/>
      <c r="C9" s="31"/>
      <c r="D9" s="5"/>
      <c r="E9" s="2"/>
      <c r="F9" s="2"/>
      <c r="G9" s="2"/>
      <c r="H9" s="2"/>
      <c r="I9" s="1"/>
      <c r="J9" s="5"/>
      <c r="K9" s="35"/>
      <c r="L9" s="35"/>
      <c r="M9" s="23">
        <v>9830</v>
      </c>
      <c r="N9" s="23"/>
      <c r="O9" s="2" t="s">
        <v>120</v>
      </c>
      <c r="P9" s="2" t="s">
        <v>9</v>
      </c>
      <c r="Q9" s="49" t="s">
        <v>105</v>
      </c>
      <c r="S9" s="3"/>
    </row>
    <row r="10" spans="2:19" ht="12.75">
      <c r="B10" s="25"/>
      <c r="C10" s="31"/>
      <c r="D10" s="5"/>
      <c r="E10" s="2"/>
      <c r="F10" s="2"/>
      <c r="G10" s="2"/>
      <c r="H10" s="2"/>
      <c r="I10" s="1"/>
      <c r="J10" s="5"/>
      <c r="K10" s="35"/>
      <c r="L10" s="35"/>
      <c r="M10" s="24">
        <f>SUM(M7:M9)</f>
        <v>29489.25925925926</v>
      </c>
      <c r="N10" s="3"/>
      <c r="O10" s="51" t="s">
        <v>10</v>
      </c>
      <c r="P10" s="51"/>
      <c r="Q10" s="49" t="s">
        <v>67</v>
      </c>
      <c r="S10" s="3"/>
    </row>
    <row r="11" spans="2:19" ht="12.75">
      <c r="B11" s="25"/>
      <c r="C11" s="31"/>
      <c r="D11" s="5"/>
      <c r="E11" s="2"/>
      <c r="F11" s="2"/>
      <c r="G11" s="2"/>
      <c r="H11" s="2"/>
      <c r="I11" s="1"/>
      <c r="J11" s="5"/>
      <c r="K11" s="35"/>
      <c r="L11" s="35"/>
      <c r="M11" s="3"/>
      <c r="N11" s="3"/>
      <c r="O11" s="2"/>
      <c r="P11" s="2"/>
      <c r="S11" s="3"/>
    </row>
    <row r="12" spans="2:19" ht="12.75">
      <c r="B12" s="25"/>
      <c r="C12" s="31"/>
      <c r="D12" s="5"/>
      <c r="E12" s="2"/>
      <c r="F12" s="2"/>
      <c r="G12" s="2"/>
      <c r="H12" s="2"/>
      <c r="I12" s="1"/>
      <c r="J12" s="5"/>
      <c r="K12" s="35"/>
      <c r="L12" s="35"/>
      <c r="M12" s="3"/>
      <c r="N12" s="3"/>
      <c r="O12" s="2"/>
      <c r="P12" s="2"/>
      <c r="S12" s="3"/>
    </row>
    <row r="13" spans="1:17" ht="12.75">
      <c r="A13" t="s">
        <v>24</v>
      </c>
      <c r="B13" s="25" t="s">
        <v>48</v>
      </c>
      <c r="C13" s="26" t="s">
        <v>19</v>
      </c>
      <c r="D13" s="5">
        <v>80000</v>
      </c>
      <c r="E13" s="2">
        <v>8888.89</v>
      </c>
      <c r="F13" s="2"/>
      <c r="G13" s="2"/>
      <c r="H13" s="2"/>
      <c r="I13" s="1"/>
      <c r="J13" s="5">
        <v>0</v>
      </c>
      <c r="K13" s="35">
        <f>E13*65%</f>
        <v>5777.778499999999</v>
      </c>
      <c r="L13" s="35">
        <f>K13+K14</f>
        <v>8888.89</v>
      </c>
      <c r="M13" s="3"/>
      <c r="N13" s="3">
        <f>L13/2*65%</f>
        <v>2888.8892499999997</v>
      </c>
      <c r="O13" s="2" t="s">
        <v>121</v>
      </c>
      <c r="P13" s="2" t="s">
        <v>7</v>
      </c>
      <c r="Q13" s="50" t="s">
        <v>69</v>
      </c>
    </row>
    <row r="14" spans="2:18" ht="12.75">
      <c r="B14" s="25" t="s">
        <v>49</v>
      </c>
      <c r="C14" s="32" t="s">
        <v>20</v>
      </c>
      <c r="D14" s="5"/>
      <c r="E14" s="2"/>
      <c r="F14" s="2">
        <v>209255</v>
      </c>
      <c r="G14" s="2"/>
      <c r="H14" s="2">
        <v>189956</v>
      </c>
      <c r="I14" s="1" t="s">
        <v>39</v>
      </c>
      <c r="J14" s="5">
        <v>14593</v>
      </c>
      <c r="K14" s="35">
        <f>E13*35%</f>
        <v>3111.1114999999995</v>
      </c>
      <c r="L14" s="35"/>
      <c r="M14" s="3"/>
      <c r="N14" s="3">
        <f>L13/2*35%</f>
        <v>1555.5557499999998</v>
      </c>
      <c r="O14" s="2" t="s">
        <v>122</v>
      </c>
      <c r="P14" s="2" t="s">
        <v>7</v>
      </c>
      <c r="Q14" s="50" t="s">
        <v>70</v>
      </c>
      <c r="R14" s="5"/>
    </row>
    <row r="15" spans="2:17" ht="12.75">
      <c r="B15" s="25"/>
      <c r="C15" s="32"/>
      <c r="D15" s="5"/>
      <c r="E15" s="2"/>
      <c r="F15" s="2"/>
      <c r="G15" s="2"/>
      <c r="H15" s="2"/>
      <c r="I15" s="1"/>
      <c r="J15" s="5"/>
      <c r="K15" s="35"/>
      <c r="L15" s="35"/>
      <c r="M15" s="3"/>
      <c r="N15" s="33">
        <f>L13/2*0.65</f>
        <v>2888.8892499999997</v>
      </c>
      <c r="O15" s="2" t="s">
        <v>121</v>
      </c>
      <c r="P15" s="34" t="s">
        <v>8</v>
      </c>
      <c r="Q15" s="50" t="s">
        <v>71</v>
      </c>
    </row>
    <row r="16" spans="2:17" ht="12.75">
      <c r="B16" s="25"/>
      <c r="C16" s="32"/>
      <c r="D16" s="5"/>
      <c r="E16" s="2"/>
      <c r="F16" s="2"/>
      <c r="G16" s="2"/>
      <c r="H16" s="2"/>
      <c r="I16" s="1"/>
      <c r="J16" s="5"/>
      <c r="K16" s="35"/>
      <c r="L16" s="35"/>
      <c r="M16" s="3"/>
      <c r="N16" s="23">
        <f>L13/2*35%</f>
        <v>1555.5557499999998</v>
      </c>
      <c r="O16" s="2" t="s">
        <v>122</v>
      </c>
      <c r="P16" s="2" t="s">
        <v>8</v>
      </c>
      <c r="Q16" s="2"/>
    </row>
    <row r="17" spans="2:17" ht="12.75">
      <c r="B17" s="25"/>
      <c r="C17" s="32"/>
      <c r="D17" s="5"/>
      <c r="E17" s="2"/>
      <c r="F17" s="2"/>
      <c r="G17" s="2"/>
      <c r="H17" s="2"/>
      <c r="I17" s="1"/>
      <c r="J17" s="5"/>
      <c r="K17" s="35"/>
      <c r="L17" s="35"/>
      <c r="M17" s="3"/>
      <c r="N17" s="24">
        <f>SUM(N13:N16)</f>
        <v>8888.89</v>
      </c>
      <c r="O17" s="24" t="s">
        <v>10</v>
      </c>
      <c r="P17" s="2"/>
      <c r="Q17" s="2"/>
    </row>
    <row r="18" spans="2:17" ht="12.75">
      <c r="B18" s="25"/>
      <c r="C18" s="32"/>
      <c r="D18" s="5"/>
      <c r="E18" s="2"/>
      <c r="F18" s="2"/>
      <c r="G18" s="2"/>
      <c r="H18" s="2"/>
      <c r="I18" s="1"/>
      <c r="J18" s="5"/>
      <c r="K18" s="35"/>
      <c r="L18" s="35"/>
      <c r="M18" s="3"/>
      <c r="N18" s="24"/>
      <c r="O18" s="24"/>
      <c r="P18" s="2"/>
      <c r="Q18" s="2"/>
    </row>
    <row r="19" spans="2:17" ht="12.75">
      <c r="B19" s="25"/>
      <c r="C19" s="32"/>
      <c r="D19" s="5"/>
      <c r="E19" s="2"/>
      <c r="F19" s="2"/>
      <c r="G19" s="2"/>
      <c r="H19" s="2"/>
      <c r="I19" s="1"/>
      <c r="J19" s="5"/>
      <c r="K19" s="35"/>
      <c r="L19" s="35"/>
      <c r="M19" s="3"/>
      <c r="N19" s="24"/>
      <c r="O19" s="24"/>
      <c r="P19" s="2"/>
      <c r="Q19" s="2"/>
    </row>
    <row r="20" spans="1:17" s="10" customFormat="1" ht="12.75">
      <c r="A20" s="6" t="s">
        <v>25</v>
      </c>
      <c r="B20" s="25" t="s">
        <v>15</v>
      </c>
      <c r="C20" s="30" t="s">
        <v>22</v>
      </c>
      <c r="D20" s="28">
        <v>126372</v>
      </c>
      <c r="E20" s="25">
        <f>D20/9</f>
        <v>14041.333333333334</v>
      </c>
      <c r="F20" s="25">
        <v>68471</v>
      </c>
      <c r="G20" s="25"/>
      <c r="H20" s="25"/>
      <c r="I20" s="27">
        <v>0.06</v>
      </c>
      <c r="J20" s="28"/>
      <c r="K20" s="35">
        <f>E20*C20</f>
        <v>21062</v>
      </c>
      <c r="L20" s="35">
        <f>E20*C20</f>
        <v>21062</v>
      </c>
      <c r="M20" s="29"/>
      <c r="N20" s="35">
        <f>L20/2</f>
        <v>10531</v>
      </c>
      <c r="O20" s="2" t="s">
        <v>120</v>
      </c>
      <c r="P20" s="6" t="s">
        <v>7</v>
      </c>
      <c r="Q20" s="50" t="s">
        <v>69</v>
      </c>
    </row>
    <row r="21" spans="2:17" ht="12.75">
      <c r="B21" s="25"/>
      <c r="C21" s="26"/>
      <c r="D21" s="5"/>
      <c r="E21" s="2"/>
      <c r="F21" s="2">
        <v>139967</v>
      </c>
      <c r="G21" s="2"/>
      <c r="H21" s="2"/>
      <c r="I21" s="1">
        <v>0</v>
      </c>
      <c r="J21" s="5">
        <v>13680</v>
      </c>
      <c r="K21" s="35"/>
      <c r="L21" s="35"/>
      <c r="M21" s="3"/>
      <c r="N21" s="36">
        <f>L20/2</f>
        <v>10531</v>
      </c>
      <c r="O21" s="2" t="s">
        <v>120</v>
      </c>
      <c r="P21" s="2" t="s">
        <v>8</v>
      </c>
      <c r="Q21" s="50" t="s">
        <v>76</v>
      </c>
    </row>
    <row r="22" spans="2:17" ht="12.75">
      <c r="B22" s="25"/>
      <c r="C22" s="26"/>
      <c r="D22" s="5"/>
      <c r="E22" s="2"/>
      <c r="F22" s="2"/>
      <c r="G22" s="2"/>
      <c r="H22" s="2"/>
      <c r="I22" s="1"/>
      <c r="J22" s="5"/>
      <c r="K22" s="35"/>
      <c r="L22" s="35"/>
      <c r="M22" s="3"/>
      <c r="N22" s="37">
        <f>SUM(N20:N21)</f>
        <v>21062</v>
      </c>
      <c r="O22" s="20" t="s">
        <v>23</v>
      </c>
      <c r="Q22" s="50" t="s">
        <v>75</v>
      </c>
    </row>
    <row r="23" spans="2:15" ht="12.75">
      <c r="B23" s="25"/>
      <c r="C23" s="26"/>
      <c r="D23" s="5"/>
      <c r="E23" s="2"/>
      <c r="F23" s="2"/>
      <c r="G23" s="2"/>
      <c r="H23" s="2"/>
      <c r="I23" s="1"/>
      <c r="J23" s="5"/>
      <c r="K23" s="35"/>
      <c r="L23" s="35"/>
      <c r="M23" s="3"/>
      <c r="N23" s="37"/>
      <c r="O23" s="20"/>
    </row>
    <row r="24" spans="4:12" ht="12.75">
      <c r="D24" s="5"/>
      <c r="K24" s="17"/>
      <c r="L24" s="17"/>
    </row>
    <row r="25" spans="1:17" ht="12.75">
      <c r="A25" t="s">
        <v>27</v>
      </c>
      <c r="B25" s="25" t="s">
        <v>15</v>
      </c>
      <c r="C25" s="31">
        <v>1</v>
      </c>
      <c r="D25" s="5">
        <v>126372</v>
      </c>
      <c r="E25" s="2">
        <f>D25/9</f>
        <v>14041.333333333334</v>
      </c>
      <c r="F25" s="2"/>
      <c r="G25" s="2"/>
      <c r="H25" s="2"/>
      <c r="I25" s="1"/>
      <c r="J25" s="5"/>
      <c r="K25" s="35">
        <f>E25*1</f>
        <v>14041.333333333334</v>
      </c>
      <c r="L25" s="35">
        <f>K25*1</f>
        <v>14041.333333333334</v>
      </c>
      <c r="M25" s="3"/>
      <c r="N25" s="38">
        <f>L25/2</f>
        <v>7020.666666666667</v>
      </c>
      <c r="O25" s="2" t="s">
        <v>120</v>
      </c>
      <c r="P25" t="s">
        <v>7</v>
      </c>
      <c r="Q25" s="50" t="s">
        <v>69</v>
      </c>
    </row>
    <row r="26" spans="2:17" ht="12.75">
      <c r="B26" s="25"/>
      <c r="C26" s="31"/>
      <c r="D26" s="5"/>
      <c r="E26" s="2"/>
      <c r="F26" s="2"/>
      <c r="G26" s="2"/>
      <c r="H26" s="2"/>
      <c r="I26" s="1"/>
      <c r="J26" s="5"/>
      <c r="K26" s="5"/>
      <c r="L26" s="5"/>
      <c r="M26" s="3"/>
      <c r="N26" s="39">
        <f>L25/2</f>
        <v>7020.666666666667</v>
      </c>
      <c r="O26" s="2" t="s">
        <v>120</v>
      </c>
      <c r="P26" t="s">
        <v>8</v>
      </c>
      <c r="Q26" s="50" t="s">
        <v>77</v>
      </c>
    </row>
    <row r="27" spans="4:17" ht="12.75">
      <c r="D27" s="5"/>
      <c r="L27" s="5"/>
      <c r="M27" s="3"/>
      <c r="N27" s="37">
        <f>SUM(N25:N26)</f>
        <v>14041.333333333334</v>
      </c>
      <c r="O27" s="20" t="s">
        <v>23</v>
      </c>
      <c r="Q27" s="50" t="s">
        <v>107</v>
      </c>
    </row>
    <row r="28" spans="4:15" ht="12.75">
      <c r="D28" s="5"/>
      <c r="L28" s="5"/>
      <c r="M28" s="3"/>
      <c r="N28" s="37"/>
      <c r="O28" s="20"/>
    </row>
    <row r="29" spans="4:15" ht="12.75">
      <c r="D29" s="5"/>
      <c r="M29" s="3"/>
      <c r="N29" s="37"/>
      <c r="O29" s="20"/>
    </row>
    <row r="30" spans="1:17" ht="12.75">
      <c r="A30" t="s">
        <v>28</v>
      </c>
      <c r="B30" s="25" t="s">
        <v>119</v>
      </c>
      <c r="C30" s="26" t="s">
        <v>29</v>
      </c>
      <c r="D30" s="5">
        <v>75000</v>
      </c>
      <c r="E30" s="2">
        <f>D30/9</f>
        <v>8333.333333333334</v>
      </c>
      <c r="F30" s="3">
        <v>0</v>
      </c>
      <c r="G30" s="2">
        <v>0</v>
      </c>
      <c r="J30" s="5">
        <v>0</v>
      </c>
      <c r="K30" s="5">
        <f>E30*2</f>
        <v>16666.666666666668</v>
      </c>
      <c r="L30" s="5">
        <f>E30*2</f>
        <v>16666.666666666668</v>
      </c>
      <c r="M30" s="3"/>
      <c r="N30" s="3">
        <f>L30/2</f>
        <v>8333.333333333334</v>
      </c>
      <c r="O30" s="29" t="s">
        <v>119</v>
      </c>
      <c r="P30" s="2" t="s">
        <v>8</v>
      </c>
      <c r="Q30" s="49" t="s">
        <v>72</v>
      </c>
    </row>
    <row r="31" spans="14:17" ht="12.75">
      <c r="N31" s="5">
        <f>L30/2</f>
        <v>8333.333333333334</v>
      </c>
      <c r="O31" s="10" t="s">
        <v>119</v>
      </c>
      <c r="P31" t="s">
        <v>9</v>
      </c>
      <c r="Q31" s="49" t="s">
        <v>73</v>
      </c>
    </row>
    <row r="32" ht="12.75">
      <c r="Q32" s="49" t="s">
        <v>74</v>
      </c>
    </row>
    <row r="33" ht="12.75">
      <c r="Q33" s="49" t="s">
        <v>78</v>
      </c>
    </row>
    <row r="34" spans="1:17" ht="12.75">
      <c r="A34" s="48" t="s">
        <v>50</v>
      </c>
      <c r="Q34" s="49" t="s">
        <v>68</v>
      </c>
    </row>
    <row r="36" spans="1:16" ht="12.75">
      <c r="A36" s="55" t="s">
        <v>52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</row>
    <row r="37" spans="1:16" ht="12.75">
      <c r="A37" s="55" t="s">
        <v>51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</row>
  </sheetData>
  <sheetProtection/>
  <printOptions gridLines="1"/>
  <pageMargins left="0.75" right="0.75" top="1" bottom="1" header="0.5" footer="0.5"/>
  <pageSetup horizontalDpi="1200" verticalDpi="1200" orientation="landscape" scale="7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Brain &amp; Cognitive</dc:creator>
  <cp:keywords/>
  <dc:description/>
  <cp:lastModifiedBy>Ritz, Michael</cp:lastModifiedBy>
  <cp:lastPrinted>2022-03-29T12:23:45Z</cp:lastPrinted>
  <dcterms:created xsi:type="dcterms:W3CDTF">2000-08-31T13:44:24Z</dcterms:created>
  <dcterms:modified xsi:type="dcterms:W3CDTF">2022-03-31T16:58:15Z</dcterms:modified>
  <cp:category/>
  <cp:version/>
  <cp:contentType/>
  <cp:contentStatus/>
</cp:coreProperties>
</file>